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Patrimoniale" sheetId="1" r:id="rId1"/>
    <sheet name="Conto economico" sheetId="2" r:id="rId2"/>
  </sheets>
  <definedNames>
    <definedName name="_xlnm.Print_Area" localSheetId="1">'Conto economico'!$A$1:$N$62</definedName>
    <definedName name="_xlnm.Print_Area" localSheetId="0">'Patrimoniale'!$A$1:$C$115</definedName>
    <definedName name="_xlnm.Print_Titles" localSheetId="0">'Patrimoniale'!$1:$8</definedName>
  </definedNames>
  <calcPr fullCalcOnLoad="1"/>
</workbook>
</file>

<file path=xl/sharedStrings.xml><?xml version="1.0" encoding="utf-8"?>
<sst xmlns="http://schemas.openxmlformats.org/spreadsheetml/2006/main" count="169" uniqueCount="143">
  <si>
    <t>Risultato gestionale positivo</t>
  </si>
  <si>
    <t>ONERI STRAORDINARI</t>
  </si>
  <si>
    <t>PROVENTI STRAORDINARI</t>
  </si>
  <si>
    <t>Totale oneri</t>
  </si>
  <si>
    <t>ONERI PROMOZIONALI E DI RACCOLTA FONDI</t>
  </si>
  <si>
    <t>ONERI DI SUPPORTO GENERALE</t>
  </si>
  <si>
    <t xml:space="preserve">B) IMMOBILIZZAZIONI </t>
  </si>
  <si>
    <t>I. Immobilizzazioni Immateriali</t>
  </si>
  <si>
    <t>II. Immobilizzaz. Materiali</t>
  </si>
  <si>
    <t xml:space="preserve">III. Immobilizzaz. Finanziarie </t>
  </si>
  <si>
    <t xml:space="preserve">C) ATTIVO CIRCOLANTE </t>
  </si>
  <si>
    <t xml:space="preserve">I. Rimanenze </t>
  </si>
  <si>
    <t>II. CREDITI</t>
  </si>
  <si>
    <t>III. Attività Finanziarie non costituenti Immobilizzaz.</t>
  </si>
  <si>
    <t xml:space="preserve">IV. Disponibilità liquide </t>
  </si>
  <si>
    <t xml:space="preserve"> </t>
  </si>
  <si>
    <t xml:space="preserve">D) RATEI E RISCONTI </t>
  </si>
  <si>
    <t>PASSIVITA'</t>
  </si>
  <si>
    <t xml:space="preserve">A) PATRIMONIO NETTO </t>
  </si>
  <si>
    <t xml:space="preserve">B) FONDI PER RISCHI ED ONERI </t>
  </si>
  <si>
    <t>C) TRATTAM. FINE RAPPORTO LAVORO SUBORDINATO</t>
  </si>
  <si>
    <t>D) DEBITI</t>
  </si>
  <si>
    <t xml:space="preserve">E) RATEI E RISCONTI </t>
  </si>
  <si>
    <t>1.2 da contratti con enti pubblici</t>
  </si>
  <si>
    <t>1.3 da soci ed associati</t>
  </si>
  <si>
    <t>1.1 da contributi su progetti</t>
  </si>
  <si>
    <t>PROVENTI DA RACCOLTA FONDI</t>
  </si>
  <si>
    <t>3.2 da contratti con enti pubblici</t>
  </si>
  <si>
    <t>3.3 da soci ed associati</t>
  </si>
  <si>
    <t>4.1 da depositi bancari</t>
  </si>
  <si>
    <t>4.3 da patrimonio edilizio</t>
  </si>
  <si>
    <t>4.4 da altri beni patrimoniali</t>
  </si>
  <si>
    <t>5.1 da attività finanziaria</t>
  </si>
  <si>
    <t>5.2 da attività immobiliari</t>
  </si>
  <si>
    <t>5.3 da altre attività</t>
  </si>
  <si>
    <t>Totale Proventi</t>
  </si>
  <si>
    <t>ONERI DA ATTIVITA' TIPICHE</t>
  </si>
  <si>
    <t>1.6 Oneri diversi di gestione</t>
  </si>
  <si>
    <t>1.2 Servizi</t>
  </si>
  <si>
    <t>2.1 Raccolta 1</t>
  </si>
  <si>
    <t>2.2 Raccolta 2</t>
  </si>
  <si>
    <t>3.2 Servizi</t>
  </si>
  <si>
    <t>3.3 Godimento beni di terzi</t>
  </si>
  <si>
    <t>3.6 Oneri diversi di gestione</t>
  </si>
  <si>
    <t>4.2 Su altri prestiti</t>
  </si>
  <si>
    <t>4.3 Da patrimonio edilizio</t>
  </si>
  <si>
    <t>6.2 Servizi</t>
  </si>
  <si>
    <t>6.6 Oneri diversi di gestione</t>
  </si>
  <si>
    <t>1.4 Personale</t>
  </si>
  <si>
    <t>3.4 Personale</t>
  </si>
  <si>
    <t>6.4 Personale</t>
  </si>
  <si>
    <t>5.1 Da attività finanziaria</t>
  </si>
  <si>
    <t>5.2 Da attività immobiliari</t>
  </si>
  <si>
    <t>5.3 Da altre attività</t>
  </si>
  <si>
    <t>1.7 Rimanenze iniziali</t>
  </si>
  <si>
    <t>1.6 Rimanenze finali</t>
  </si>
  <si>
    <t>3) Diritti di brevetto e utilizzo opere ingegno</t>
  </si>
  <si>
    <t>1) Partecipazioni</t>
  </si>
  <si>
    <t>2) Crediti</t>
  </si>
  <si>
    <t>3) Altri titoli</t>
  </si>
  <si>
    <t>1) Verso clienti</t>
  </si>
  <si>
    <t>2) Verso altri</t>
  </si>
  <si>
    <t>2) Altri Titoli</t>
  </si>
  <si>
    <t>1) Depositi bancari</t>
  </si>
  <si>
    <t>3) denaro e altri valori in cassa</t>
  </si>
  <si>
    <t>1) Risultato gestionale esercizio in corso</t>
  </si>
  <si>
    <t>2) Risultato gestionale esercizi precedenti</t>
  </si>
  <si>
    <t>3) Riserve statutarie</t>
  </si>
  <si>
    <t>I) PATRIMONIO LIBERO</t>
  </si>
  <si>
    <t>II) FONDO DI DOTAZIONE DELL'ENTE</t>
  </si>
  <si>
    <t>III) PATRIMONIO VINCOLATO</t>
  </si>
  <si>
    <t>1) Fondi vincolati destinati da terzi</t>
  </si>
  <si>
    <t>2) altri</t>
  </si>
  <si>
    <t>1) per trattamento di quiescenza e simili</t>
  </si>
  <si>
    <t>1) titoli di solidarieta ex art.29 DLGS 460/97</t>
  </si>
  <si>
    <t>2) debiti verso banche</t>
  </si>
  <si>
    <t>3) debiti verso altri finanziatori</t>
  </si>
  <si>
    <t>4) acconti</t>
  </si>
  <si>
    <t>6) debiti tributari</t>
  </si>
  <si>
    <t>7) debiti verso istituti di previdenza</t>
  </si>
  <si>
    <t>5) debiti verso fornitori</t>
  </si>
  <si>
    <t>4.5 Altri oneri</t>
  </si>
  <si>
    <t>6.7 Imposte</t>
  </si>
  <si>
    <t>Stato patrimoniale</t>
  </si>
  <si>
    <t>8) altri debiti</t>
  </si>
  <si>
    <t>2) Fondi vincolati per decisione degli organi istituzionali</t>
  </si>
  <si>
    <t>6.3 Godimento beni di terzi</t>
  </si>
  <si>
    <t>ONERI DA ATTIVITA' ACCESSORIE</t>
  </si>
  <si>
    <t>ATTIVITA'</t>
  </si>
  <si>
    <t>ONERI FINANZIARI  E PATRIMONIALI</t>
  </si>
  <si>
    <t>PROVENTI E RICAVI  DA ATTIVITA' TIPICHE</t>
  </si>
  <si>
    <t xml:space="preserve">PROVENTI E RICAVI DA ATTIVITA' ACCESSORIE </t>
  </si>
  <si>
    <t>PROVENTI FINANZIARI E PATRIMONIALI</t>
  </si>
  <si>
    <t>A) QUOTE ASSOCIATIVE ANCORA DA VERSARE</t>
  </si>
  <si>
    <t>4) Spese manutenzioni da ammortizzare</t>
  </si>
  <si>
    <t>6) Altre</t>
  </si>
  <si>
    <t>1) Materie prime, sussidiarie e di consumo</t>
  </si>
  <si>
    <t>Rendiconto Gestionale</t>
  </si>
  <si>
    <t>Risultato gestionale negativo</t>
  </si>
  <si>
    <t>TOTALE ATTIVITA'</t>
  </si>
  <si>
    <t>TOTALE PASSIVITA'</t>
  </si>
  <si>
    <t>5) Oneri pluriennali</t>
  </si>
  <si>
    <t>1) Costi di impianto e ampliamento</t>
  </si>
  <si>
    <t>1) Terreni  e fabbricati</t>
  </si>
  <si>
    <t>2) Impianti e attrezzature</t>
  </si>
  <si>
    <t>3) Altri beni</t>
  </si>
  <si>
    <t>4) Immobilizzazioni in corso e acconti</t>
  </si>
  <si>
    <t>5) Immobilizzazioni donate</t>
  </si>
  <si>
    <t>2) Costi di sviluppo</t>
  </si>
  <si>
    <t xml:space="preserve">   di cui: esigibili entro l'esercizio successivo</t>
  </si>
  <si>
    <t>2) prodotti in corso di lavorazione e semilavorati</t>
  </si>
  <si>
    <t>3) lavori in corso su ordinazione</t>
  </si>
  <si>
    <t>4) prodotti fini e merci</t>
  </si>
  <si>
    <t>5) acconti</t>
  </si>
  <si>
    <t xml:space="preserve">    di cui esigibili entro l'esercizio successivo</t>
  </si>
  <si>
    <t xml:space="preserve">    di cui esigibili oltre l'esercizio successivo</t>
  </si>
  <si>
    <t>2) assegni</t>
  </si>
  <si>
    <t>2017</t>
  </si>
  <si>
    <t>1.4 da non soci</t>
  </si>
  <si>
    <t>1.5 Altri proventi e ricavi</t>
  </si>
  <si>
    <t xml:space="preserve">2.3 5  per mille </t>
  </si>
  <si>
    <t>2.4 Altri</t>
  </si>
  <si>
    <t>3.4 da non soci</t>
  </si>
  <si>
    <t>3.5 altri proventi e ricavi</t>
  </si>
  <si>
    <t>4.2 da altri investimenti finanziari</t>
  </si>
  <si>
    <t>1.1 Acquisti</t>
  </si>
  <si>
    <t>1.3 Godimenti beni di terzi</t>
  </si>
  <si>
    <t>2.3 Attività ordinaria di promozione</t>
  </si>
  <si>
    <t>3.1 Acquisti</t>
  </si>
  <si>
    <t>4.1 Su rapporti bancari</t>
  </si>
  <si>
    <t>6.1 Acquisti</t>
  </si>
  <si>
    <t>1.5 Ammortamenti e svalutazioni</t>
  </si>
  <si>
    <t>3.5 Ammortamenti e svalutazioni</t>
  </si>
  <si>
    <t>6.5 Ammortamenti e svalutazioni</t>
  </si>
  <si>
    <t>3.1 da gestioni accessorie/connesse</t>
  </si>
  <si>
    <t>OPERA FEDERICO OZANAM ONLUS</t>
  </si>
  <si>
    <t>Associazione riconosciuta con Decreto Regione Lombardia n. 462 del 20/07/2016</t>
  </si>
  <si>
    <t>Sede legale: 20144 Milano (MI) - Via Motta n. 4</t>
  </si>
  <si>
    <t>Codice Fiscale: 97111130155 - Partita IVA: 10806550157</t>
  </si>
  <si>
    <t>TOTALE A PAREGGIO</t>
  </si>
  <si>
    <t>Bilancio dell'esercizio chiuso al 31/12/2018</t>
  </si>
  <si>
    <t>2018</t>
  </si>
  <si>
    <t>Bilancio al 31/12/2018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</si>
</sst>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0.0"/>
    <numFmt numFmtId="185" formatCode="0.0%"/>
    <numFmt numFmtId="186" formatCode="0.000"/>
    <numFmt numFmtId="187" formatCode="_-* #,##0.0000_-;\-* #,##0.0000_-;_-* &quot;-&quot;??_-;_-@_-"/>
    <numFmt numFmtId="188" formatCode="_-* #,##0.00000_-;\-* #,##0.00000_-;_-* &quot;-&quot;??_-;_-@_-"/>
    <numFmt numFmtId="189" formatCode="[$-410]dddd\ d\ mmmm\ yyyy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182" fontId="6" fillId="0" borderId="0" xfId="45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20" fontId="1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20" fontId="3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left"/>
    </xf>
    <xf numFmtId="0" fontId="12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45" applyNumberFormat="1" applyFont="1" applyBorder="1" applyAlignment="1">
      <alignment horizontal="center"/>
    </xf>
    <xf numFmtId="3" fontId="6" fillId="0" borderId="0" xfId="45" applyNumberFormat="1" applyFont="1" applyBorder="1" applyAlignment="1">
      <alignment/>
    </xf>
    <xf numFmtId="3" fontId="16" fillId="0" borderId="0" xfId="45" applyNumberFormat="1" applyFont="1" applyBorder="1" applyAlignment="1">
      <alignment/>
    </xf>
    <xf numFmtId="0" fontId="15" fillId="0" borderId="0" xfId="45" applyNumberFormat="1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1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0" borderId="21" xfId="45" applyNumberFormat="1" applyFont="1" applyBorder="1" applyAlignment="1">
      <alignment horizontal="right"/>
    </xf>
    <xf numFmtId="3" fontId="2" fillId="0" borderId="20" xfId="45" applyNumberFormat="1" applyFont="1" applyBorder="1" applyAlignment="1">
      <alignment horizontal="right"/>
    </xf>
    <xf numFmtId="3" fontId="2" fillId="0" borderId="20" xfId="45" applyNumberFormat="1" applyFont="1" applyBorder="1" applyAlignment="1">
      <alignment/>
    </xf>
    <xf numFmtId="3" fontId="2" fillId="0" borderId="21" xfId="45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9" fontId="9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zoomScale="130" zoomScaleNormal="130" zoomScalePageLayoutView="0" workbookViewId="0" topLeftCell="A69">
      <selection activeCell="B116" sqref="B116"/>
    </sheetView>
  </sheetViews>
  <sheetFormatPr defaultColWidth="9.140625" defaultRowHeight="12.75"/>
  <cols>
    <col min="1" max="1" width="45.00390625" style="0" customWidth="1"/>
    <col min="2" max="2" width="12.7109375" style="0" customWidth="1"/>
    <col min="3" max="3" width="7.8515625" style="0" bestFit="1" customWidth="1"/>
    <col min="4" max="5" width="10.57421875" style="0" bestFit="1" customWidth="1"/>
  </cols>
  <sheetData>
    <row r="1" spans="1:10" ht="18">
      <c r="A1" s="68" t="s">
        <v>135</v>
      </c>
      <c r="B1" s="68"/>
      <c r="C1" s="68"/>
      <c r="D1" s="27"/>
      <c r="E1" s="27"/>
      <c r="F1" s="27"/>
      <c r="G1" s="27"/>
      <c r="H1" s="27"/>
      <c r="I1" s="27"/>
      <c r="J1" s="27"/>
    </row>
    <row r="2" spans="1:10" ht="18">
      <c r="A2" s="69" t="s">
        <v>136</v>
      </c>
      <c r="B2" s="69"/>
      <c r="C2" s="69"/>
      <c r="D2" s="27"/>
      <c r="E2" s="27"/>
      <c r="F2" s="27"/>
      <c r="G2" s="27"/>
      <c r="H2" s="27"/>
      <c r="I2" s="27"/>
      <c r="J2" s="27"/>
    </row>
    <row r="3" spans="1:10" ht="18">
      <c r="A3" s="69" t="s">
        <v>137</v>
      </c>
      <c r="B3" s="69"/>
      <c r="C3" s="69"/>
      <c r="D3" s="27"/>
      <c r="E3" s="27"/>
      <c r="F3" s="27"/>
      <c r="G3" s="27"/>
      <c r="H3" s="27"/>
      <c r="I3" s="27"/>
      <c r="J3" s="27"/>
    </row>
    <row r="4" spans="1:10" ht="18">
      <c r="A4" s="69" t="s">
        <v>138</v>
      </c>
      <c r="B4" s="69"/>
      <c r="C4" s="69"/>
      <c r="D4" s="27"/>
      <c r="E4" s="27"/>
      <c r="F4" s="27"/>
      <c r="G4" s="27"/>
      <c r="H4" s="27"/>
      <c r="I4" s="27"/>
      <c r="J4" s="27"/>
    </row>
    <row r="5" spans="1:3" ht="12" customHeight="1">
      <c r="A5" s="11"/>
      <c r="B5" s="11"/>
      <c r="C5" s="11"/>
    </row>
    <row r="6" spans="1:3" ht="16.5">
      <c r="A6" s="66" t="s">
        <v>140</v>
      </c>
      <c r="B6" s="66"/>
      <c r="C6" s="66"/>
    </row>
    <row r="7" spans="1:3" ht="12" customHeight="1">
      <c r="A7" s="11"/>
      <c r="B7" s="11"/>
      <c r="C7" s="11"/>
    </row>
    <row r="8" spans="1:3" ht="12" customHeight="1">
      <c r="A8" s="67" t="s">
        <v>83</v>
      </c>
      <c r="B8" s="67"/>
      <c r="C8" s="67"/>
    </row>
    <row r="9" ht="12" customHeight="1"/>
    <row r="10" spans="1:3" ht="12" customHeight="1">
      <c r="A10" s="32" t="s">
        <v>88</v>
      </c>
      <c r="B10" s="36">
        <v>2018</v>
      </c>
      <c r="C10" s="36">
        <v>2017</v>
      </c>
    </row>
    <row r="11" spans="1:3" ht="12" customHeight="1">
      <c r="A11" s="3"/>
      <c r="B11" s="3"/>
      <c r="C11" s="3"/>
    </row>
    <row r="12" spans="1:3" ht="12" customHeight="1">
      <c r="A12" s="4" t="s">
        <v>93</v>
      </c>
      <c r="B12" s="31">
        <f>ROUND(0,0)</f>
        <v>0</v>
      </c>
      <c r="C12" s="31">
        <f>ROUND(0,0)</f>
        <v>0</v>
      </c>
    </row>
    <row r="13" spans="1:3" ht="12" customHeight="1">
      <c r="A13" s="3"/>
      <c r="B13" s="30"/>
      <c r="C13" s="30"/>
    </row>
    <row r="14" spans="1:3" ht="12" customHeight="1">
      <c r="A14" s="4" t="s">
        <v>6</v>
      </c>
      <c r="B14" s="34">
        <f>B15+B23+B30</f>
        <v>167612</v>
      </c>
      <c r="C14" s="34">
        <f>C15+C23+C30</f>
        <v>169947</v>
      </c>
    </row>
    <row r="15" spans="1:3" ht="12" customHeight="1">
      <c r="A15" s="4" t="s">
        <v>7</v>
      </c>
      <c r="B15" s="31">
        <f>SUM(B16:B22)</f>
        <v>101364</v>
      </c>
      <c r="C15" s="31">
        <f>SUM(C16:C22)</f>
        <v>104239</v>
      </c>
    </row>
    <row r="16" spans="1:3" ht="12" customHeight="1">
      <c r="A16" s="3" t="s">
        <v>102</v>
      </c>
      <c r="B16" s="30">
        <v>0</v>
      </c>
      <c r="C16" s="30">
        <v>0</v>
      </c>
    </row>
    <row r="17" spans="1:3" ht="12" customHeight="1">
      <c r="A17" s="3" t="s">
        <v>108</v>
      </c>
      <c r="B17" s="30">
        <v>0</v>
      </c>
      <c r="C17" s="30">
        <v>0</v>
      </c>
    </row>
    <row r="18" spans="1:3" ht="12" customHeight="1">
      <c r="A18" s="3" t="s">
        <v>56</v>
      </c>
      <c r="B18" s="30">
        <f>0</f>
        <v>0</v>
      </c>
      <c r="C18" s="30">
        <f>0</f>
        <v>0</v>
      </c>
    </row>
    <row r="19" spans="1:3" ht="12" customHeight="1">
      <c r="A19" s="3" t="s">
        <v>94</v>
      </c>
      <c r="B19" s="30">
        <v>0</v>
      </c>
      <c r="C19" s="30">
        <v>0</v>
      </c>
    </row>
    <row r="20" spans="1:3" ht="12" customHeight="1">
      <c r="A20" s="3" t="s">
        <v>101</v>
      </c>
      <c r="B20" s="30">
        <f>0</f>
        <v>0</v>
      </c>
      <c r="C20" s="30">
        <v>0</v>
      </c>
    </row>
    <row r="21" spans="1:3" ht="12" customHeight="1">
      <c r="A21" s="3" t="s">
        <v>95</v>
      </c>
      <c r="B21" s="30">
        <f>ROUND(186539.98-85175.6,0)</f>
        <v>101364</v>
      </c>
      <c r="C21" s="30">
        <f>ROUND(144659.33-40419.92,0)</f>
        <v>104239</v>
      </c>
    </row>
    <row r="22" spans="1:3" ht="12" customHeight="1">
      <c r="A22" s="3"/>
      <c r="B22" s="30"/>
      <c r="C22" s="30"/>
    </row>
    <row r="23" spans="1:5" ht="12" customHeight="1">
      <c r="A23" s="4" t="s">
        <v>8</v>
      </c>
      <c r="B23" s="34">
        <f>SUM(B24:B28)</f>
        <v>14225</v>
      </c>
      <c r="C23" s="34">
        <f>SUM(C24:C28)</f>
        <v>13685</v>
      </c>
      <c r="E23" s="8"/>
    </row>
    <row r="24" spans="1:3" ht="12" customHeight="1">
      <c r="A24" s="3" t="s">
        <v>103</v>
      </c>
      <c r="B24" s="30">
        <f>0</f>
        <v>0</v>
      </c>
      <c r="C24" s="30">
        <f>0</f>
        <v>0</v>
      </c>
    </row>
    <row r="25" spans="1:3" ht="12" customHeight="1">
      <c r="A25" s="3" t="s">
        <v>104</v>
      </c>
      <c r="B25" s="30">
        <f>ROUND(10350.2+24.9-8611.34-24.9+4510.19-3006.94,0)</f>
        <v>3242</v>
      </c>
      <c r="C25" s="30">
        <f>ROUND(10350.2+24.9-7883.21-24.9+3676.19-2742.03,0)</f>
        <v>3401</v>
      </c>
    </row>
    <row r="26" spans="1:3" ht="12" customHeight="1">
      <c r="A26" s="3" t="s">
        <v>105</v>
      </c>
      <c r="B26" s="30">
        <f>ROUND(19792.15+2800.94+862.12-13213.67-2800.94-862.12+3032.17-2424.79+6075.79-2278.42+607.73+29-636.73,0)</f>
        <v>10983</v>
      </c>
      <c r="C26" s="30">
        <f>ROUND(14645.14+2357.84+862.12-10655.31-2357.84-862.12+2953.27-1975.12+6075.79-759.47+474.73+29-503.73,0)</f>
        <v>10284</v>
      </c>
    </row>
    <row r="27" spans="1:3" ht="12" customHeight="1">
      <c r="A27" s="3" t="s">
        <v>106</v>
      </c>
      <c r="B27" s="30">
        <v>0</v>
      </c>
      <c r="C27" s="30">
        <v>0</v>
      </c>
    </row>
    <row r="28" spans="1:3" ht="12" customHeight="1">
      <c r="A28" s="3" t="s">
        <v>107</v>
      </c>
      <c r="B28" s="30">
        <v>0</v>
      </c>
      <c r="C28" s="30">
        <v>0</v>
      </c>
    </row>
    <row r="29" spans="1:3" ht="12" customHeight="1">
      <c r="A29" s="3"/>
      <c r="B29" s="30"/>
      <c r="C29" s="30"/>
    </row>
    <row r="30" spans="1:3" ht="12" customHeight="1">
      <c r="A30" s="4" t="s">
        <v>9</v>
      </c>
      <c r="B30" s="34">
        <f>SUM(B31:B34)</f>
        <v>52023</v>
      </c>
      <c r="C30" s="34">
        <f>SUM(C31:C34)</f>
        <v>52023</v>
      </c>
    </row>
    <row r="31" spans="1:3" ht="12" customHeight="1">
      <c r="A31" s="3" t="s">
        <v>57</v>
      </c>
      <c r="B31" s="30">
        <v>0</v>
      </c>
      <c r="C31" s="30">
        <v>0</v>
      </c>
    </row>
    <row r="32" spans="1:3" ht="12" customHeight="1">
      <c r="A32" s="3" t="s">
        <v>58</v>
      </c>
      <c r="B32" s="30">
        <f>SUM(B33)</f>
        <v>0</v>
      </c>
      <c r="C32" s="30">
        <f>SUM(C33)</f>
        <v>0</v>
      </c>
    </row>
    <row r="33" spans="1:3" ht="12" customHeight="1">
      <c r="A33" s="3" t="s">
        <v>109</v>
      </c>
      <c r="B33" s="30">
        <v>0</v>
      </c>
      <c r="C33" s="30">
        <v>0</v>
      </c>
    </row>
    <row r="34" spans="1:3" ht="12" customHeight="1">
      <c r="A34" s="3" t="s">
        <v>59</v>
      </c>
      <c r="B34" s="30">
        <f>ROUND(52022.91,0)</f>
        <v>52023</v>
      </c>
      <c r="C34" s="30">
        <f>ROUND(52022.91,0)</f>
        <v>52023</v>
      </c>
    </row>
    <row r="35" spans="1:3" ht="12" customHeight="1">
      <c r="A35" s="3"/>
      <c r="B35" s="30"/>
      <c r="C35" s="30"/>
    </row>
    <row r="36" spans="1:3" ht="12" customHeight="1">
      <c r="A36" s="4" t="s">
        <v>10</v>
      </c>
      <c r="B36" s="34">
        <f>B37+B44+B52+B56</f>
        <v>349378</v>
      </c>
      <c r="C36" s="34">
        <f>C37+C44+C52+C56</f>
        <v>356455</v>
      </c>
    </row>
    <row r="37" spans="1:3" ht="12" customHeight="1">
      <c r="A37" s="4" t="s">
        <v>11</v>
      </c>
      <c r="B37" s="31">
        <v>0</v>
      </c>
      <c r="C37" s="31">
        <v>0</v>
      </c>
    </row>
    <row r="38" spans="1:3" ht="12" customHeight="1">
      <c r="A38" s="3" t="s">
        <v>96</v>
      </c>
      <c r="B38" s="30">
        <v>0</v>
      </c>
      <c r="C38" s="30">
        <v>0</v>
      </c>
    </row>
    <row r="39" spans="1:3" ht="12" customHeight="1">
      <c r="A39" s="3" t="s">
        <v>110</v>
      </c>
      <c r="B39" s="30">
        <v>0</v>
      </c>
      <c r="C39" s="30">
        <v>0</v>
      </c>
    </row>
    <row r="40" spans="1:3" ht="12" customHeight="1">
      <c r="A40" s="3" t="s">
        <v>111</v>
      </c>
      <c r="B40" s="30">
        <v>0</v>
      </c>
      <c r="C40" s="30">
        <v>0</v>
      </c>
    </row>
    <row r="41" spans="1:3" ht="12" customHeight="1">
      <c r="A41" s="3" t="s">
        <v>112</v>
      </c>
      <c r="B41" s="30">
        <v>0</v>
      </c>
      <c r="C41" s="30">
        <v>0</v>
      </c>
    </row>
    <row r="42" spans="1:3" ht="12" customHeight="1">
      <c r="A42" s="3" t="s">
        <v>113</v>
      </c>
      <c r="B42" s="30">
        <v>0</v>
      </c>
      <c r="C42" s="30">
        <v>0</v>
      </c>
    </row>
    <row r="43" spans="1:3" ht="12" customHeight="1">
      <c r="A43" s="3"/>
      <c r="B43" s="30"/>
      <c r="C43" s="30"/>
    </row>
    <row r="44" spans="1:3" ht="12" customHeight="1">
      <c r="A44" s="4" t="s">
        <v>12</v>
      </c>
      <c r="B44" s="34">
        <f>B45+B48</f>
        <v>161046</v>
      </c>
      <c r="C44" s="34">
        <f>C45+C48</f>
        <v>215005</v>
      </c>
    </row>
    <row r="45" spans="1:3" ht="12" customHeight="1">
      <c r="A45" s="3" t="s">
        <v>60</v>
      </c>
      <c r="B45" s="30">
        <f>SUM(B46:B47)</f>
        <v>143350</v>
      </c>
      <c r="C45" s="30">
        <f>SUM(C46:C47)</f>
        <v>190130</v>
      </c>
    </row>
    <row r="46" spans="1:3" ht="12" customHeight="1">
      <c r="A46" s="3" t="s">
        <v>114</v>
      </c>
      <c r="B46" s="30">
        <f>ROUND(103880+39470,0)</f>
        <v>143350</v>
      </c>
      <c r="C46" s="30">
        <f>ROUND(151070+39060,0)</f>
        <v>190130</v>
      </c>
    </row>
    <row r="47" spans="1:3" ht="12" customHeight="1">
      <c r="A47" s="3" t="s">
        <v>115</v>
      </c>
      <c r="B47" s="30">
        <v>0</v>
      </c>
      <c r="C47" s="30">
        <v>0</v>
      </c>
    </row>
    <row r="48" spans="1:5" ht="12" customHeight="1">
      <c r="A48" s="3" t="s">
        <v>61</v>
      </c>
      <c r="B48" s="30">
        <f>SUM(B49:B50)</f>
        <v>17696</v>
      </c>
      <c r="C48" s="30">
        <f>SUM(C49:C50)</f>
        <v>24875</v>
      </c>
      <c r="E48" s="7"/>
    </row>
    <row r="49" spans="1:5" ht="12" customHeight="1">
      <c r="A49" s="3" t="s">
        <v>114</v>
      </c>
      <c r="B49" s="30">
        <f>ROUND(8357.51+7.37+344.99+78.59+532.25+217.03+4476+82.07,0)</f>
        <v>14096</v>
      </c>
      <c r="C49" s="30">
        <f>ROUND(23902.55+3.6+160.8+24.34+323.25+220.33+240.6,0)</f>
        <v>24875</v>
      </c>
      <c r="E49" s="7"/>
    </row>
    <row r="50" spans="1:5" ht="12" customHeight="1">
      <c r="A50" s="3" t="s">
        <v>115</v>
      </c>
      <c r="B50" s="30">
        <f>ROUND(3600,0)</f>
        <v>3600</v>
      </c>
      <c r="C50" s="30">
        <f>ROUND(0,0)</f>
        <v>0</v>
      </c>
      <c r="E50" s="7"/>
    </row>
    <row r="51" spans="1:3" ht="12" customHeight="1">
      <c r="A51" s="3"/>
      <c r="B51" s="30"/>
      <c r="C51" s="30"/>
    </row>
    <row r="52" spans="1:3" ht="12" customHeight="1">
      <c r="A52" s="4" t="s">
        <v>13</v>
      </c>
      <c r="B52" s="31">
        <f>SUM(B53:B54)</f>
        <v>28361</v>
      </c>
      <c r="C52" s="31">
        <f>SUM(C53:C54)</f>
        <v>18136</v>
      </c>
    </row>
    <row r="53" spans="1:3" ht="12" customHeight="1">
      <c r="A53" s="3" t="s">
        <v>57</v>
      </c>
      <c r="B53" s="30">
        <v>0</v>
      </c>
      <c r="C53" s="30">
        <v>0</v>
      </c>
    </row>
    <row r="54" spans="1:3" ht="12" customHeight="1">
      <c r="A54" s="3" t="s">
        <v>62</v>
      </c>
      <c r="B54" s="30">
        <f>ROUND(28360.98,0)</f>
        <v>28361</v>
      </c>
      <c r="C54" s="30">
        <f>ROUND(20000-1864.44,0)</f>
        <v>18136</v>
      </c>
    </row>
    <row r="55" spans="1:3" ht="12" customHeight="1">
      <c r="A55" s="3"/>
      <c r="B55" s="30"/>
      <c r="C55" s="30"/>
    </row>
    <row r="56" spans="1:3" ht="12" customHeight="1">
      <c r="A56" s="4" t="s">
        <v>14</v>
      </c>
      <c r="B56" s="34">
        <f>SUM(B57:B59)</f>
        <v>159971</v>
      </c>
      <c r="C56" s="34">
        <f>SUM(C57:C59)</f>
        <v>123314</v>
      </c>
    </row>
    <row r="57" spans="1:6" ht="12" customHeight="1">
      <c r="A57" s="3" t="s">
        <v>63</v>
      </c>
      <c r="B57" s="30">
        <f>ROUND(159579.61,0)</f>
        <v>159580</v>
      </c>
      <c r="C57" s="30">
        <f>ROUND(123268.44,0)</f>
        <v>123268</v>
      </c>
      <c r="F57" s="6"/>
    </row>
    <row r="58" spans="1:3" ht="12" customHeight="1">
      <c r="A58" s="3" t="s">
        <v>116</v>
      </c>
      <c r="B58" s="30">
        <v>0</v>
      </c>
      <c r="C58" s="30">
        <v>0</v>
      </c>
    </row>
    <row r="59" spans="1:6" ht="12" customHeight="1">
      <c r="A59" s="3" t="s">
        <v>64</v>
      </c>
      <c r="B59" s="30">
        <f>ROUND(182.13+208.85,0)</f>
        <v>391</v>
      </c>
      <c r="C59" s="30">
        <f>ROUND(45.64,0)</f>
        <v>46</v>
      </c>
      <c r="F59" s="7"/>
    </row>
    <row r="60" spans="1:3" ht="12" customHeight="1">
      <c r="A60" s="3" t="s">
        <v>15</v>
      </c>
      <c r="B60" s="30"/>
      <c r="C60" s="30"/>
    </row>
    <row r="61" spans="1:3" ht="12" customHeight="1">
      <c r="A61" s="4" t="s">
        <v>16</v>
      </c>
      <c r="B61" s="34">
        <f>ROUND(1523.62,0)</f>
        <v>1524</v>
      </c>
      <c r="C61" s="34">
        <f>ROUND(1884.71,0)</f>
        <v>1885</v>
      </c>
    </row>
    <row r="62" spans="1:3" ht="12" customHeight="1">
      <c r="A62" s="3" t="s">
        <v>15</v>
      </c>
      <c r="B62" s="30"/>
      <c r="C62" s="30"/>
    </row>
    <row r="63" spans="1:3" ht="12" customHeight="1">
      <c r="A63" s="4" t="s">
        <v>99</v>
      </c>
      <c r="B63" s="34">
        <f>B61+B36+B14+B12</f>
        <v>518514</v>
      </c>
      <c r="C63" s="34">
        <f>C61+C36+C14+C12</f>
        <v>528287</v>
      </c>
    </row>
    <row r="64" spans="1:3" ht="12" customHeight="1">
      <c r="A64" s="11"/>
      <c r="B64" s="11"/>
      <c r="C64" s="11"/>
    </row>
    <row r="65" spans="1:4" ht="12.75">
      <c r="A65" s="3"/>
      <c r="B65" s="3"/>
      <c r="C65" s="3"/>
      <c r="D65" s="8"/>
    </row>
    <row r="66" spans="1:3" ht="15.75">
      <c r="A66" s="32" t="s">
        <v>17</v>
      </c>
      <c r="B66" s="33" t="s">
        <v>141</v>
      </c>
      <c r="C66" s="33" t="s">
        <v>117</v>
      </c>
    </row>
    <row r="67" spans="1:3" ht="12.75">
      <c r="A67" s="3"/>
      <c r="B67" s="3"/>
      <c r="C67" s="3"/>
    </row>
    <row r="68" spans="1:4" ht="12.75">
      <c r="A68" s="4" t="s">
        <v>18</v>
      </c>
      <c r="B68" s="35">
        <f>B73+B69+B74</f>
        <v>398917</v>
      </c>
      <c r="C68" s="35">
        <f>C73+C69+C74</f>
        <v>396920</v>
      </c>
      <c r="D68" s="8"/>
    </row>
    <row r="69" spans="1:3" ht="12.75">
      <c r="A69" s="4" t="s">
        <v>68</v>
      </c>
      <c r="B69" s="34">
        <f>SUM(B70:B72)</f>
        <v>346917</v>
      </c>
      <c r="C69" s="34">
        <f>SUM(C70:C72)</f>
        <v>344920</v>
      </c>
    </row>
    <row r="70" spans="1:5" ht="12.75">
      <c r="A70" s="3" t="s">
        <v>65</v>
      </c>
      <c r="B70" s="30">
        <f>'Conto economico'!G57-'Conto economico'!M57</f>
        <v>1995</v>
      </c>
      <c r="C70" s="30">
        <f>'Conto economico'!H57-'Conto economico'!N57</f>
        <v>33975</v>
      </c>
      <c r="E70" s="8"/>
    </row>
    <row r="71" spans="1:3" ht="12.75">
      <c r="A71" s="3" t="s">
        <v>66</v>
      </c>
      <c r="B71" s="30">
        <v>0</v>
      </c>
      <c r="C71" s="30">
        <v>0</v>
      </c>
    </row>
    <row r="72" spans="1:3" ht="13.5" customHeight="1">
      <c r="A72" s="3" t="s">
        <v>67</v>
      </c>
      <c r="B72" s="30">
        <f>ROUND(269350.7+56552.03+19018.39-0.01,0)+1</f>
        <v>344922</v>
      </c>
      <c r="C72" s="30">
        <f>ROUND(235375.3+56552.03+19018.39-0.01,0)-1</f>
        <v>310945</v>
      </c>
    </row>
    <row r="73" spans="1:3" ht="13.5" customHeight="1">
      <c r="A73" s="4" t="s">
        <v>69</v>
      </c>
      <c r="B73" s="34">
        <f>ROUND(52000,0)</f>
        <v>52000</v>
      </c>
      <c r="C73" s="34">
        <f>ROUND(52000,0)</f>
        <v>52000</v>
      </c>
    </row>
    <row r="74" spans="1:3" ht="13.5" customHeight="1">
      <c r="A74" s="4" t="s">
        <v>70</v>
      </c>
      <c r="B74" s="34">
        <f>SUM(B75:B76)</f>
        <v>0</v>
      </c>
      <c r="C74" s="34">
        <f>SUM(C75:C76)</f>
        <v>0</v>
      </c>
    </row>
    <row r="75" spans="1:3" ht="13.5" customHeight="1">
      <c r="A75" s="3" t="s">
        <v>71</v>
      </c>
      <c r="B75" s="30">
        <v>0</v>
      </c>
      <c r="C75" s="30">
        <v>0</v>
      </c>
    </row>
    <row r="76" spans="1:3" ht="13.5" customHeight="1">
      <c r="A76" s="3" t="s">
        <v>85</v>
      </c>
      <c r="B76" s="30">
        <v>0</v>
      </c>
      <c r="C76" s="30">
        <v>0</v>
      </c>
    </row>
    <row r="77" spans="1:3" ht="12.75">
      <c r="A77" s="3"/>
      <c r="B77" s="30"/>
      <c r="C77" s="30"/>
    </row>
    <row r="78" spans="1:3" ht="12.75">
      <c r="A78" s="3"/>
      <c r="B78" s="30"/>
      <c r="C78" s="30"/>
    </row>
    <row r="79" spans="1:5" ht="12.75">
      <c r="A79" s="4" t="s">
        <v>19</v>
      </c>
      <c r="B79" s="31">
        <f>B80+B81</f>
        <v>0</v>
      </c>
      <c r="C79" s="31">
        <f>C80+C81</f>
        <v>0</v>
      </c>
      <c r="E79" s="31"/>
    </row>
    <row r="80" spans="1:5" ht="12.75">
      <c r="A80" s="3" t="s">
        <v>73</v>
      </c>
      <c r="B80" s="30">
        <v>0</v>
      </c>
      <c r="C80" s="30">
        <v>0</v>
      </c>
      <c r="E80" s="29"/>
    </row>
    <row r="81" spans="1:3" ht="12.75">
      <c r="A81" s="3" t="s">
        <v>72</v>
      </c>
      <c r="B81" s="30">
        <v>0</v>
      </c>
      <c r="C81" s="30">
        <v>0</v>
      </c>
    </row>
    <row r="82" spans="1:3" ht="12.75">
      <c r="A82" s="3"/>
      <c r="B82" s="30"/>
      <c r="C82" s="30"/>
    </row>
    <row r="83" spans="1:3" ht="12.75">
      <c r="A83" s="4" t="s">
        <v>20</v>
      </c>
      <c r="B83" s="31">
        <f>ROUND(12075.79,0)</f>
        <v>12076</v>
      </c>
      <c r="C83" s="31">
        <f>ROUND(4576.33,0)</f>
        <v>4576</v>
      </c>
    </row>
    <row r="84" spans="1:3" ht="12.75">
      <c r="A84" s="3"/>
      <c r="B84" s="30"/>
      <c r="C84" s="30"/>
    </row>
    <row r="85" spans="1:3" ht="12.75">
      <c r="A85" s="4" t="s">
        <v>21</v>
      </c>
      <c r="B85" s="34">
        <f>B86+B89+B92+B95+B98+B101+B104+B107</f>
        <v>76279</v>
      </c>
      <c r="C85" s="34">
        <f>C86+C89+C92+C95+C98+C101+C104+C107</f>
        <v>95707</v>
      </c>
    </row>
    <row r="86" spans="1:3" ht="12.75">
      <c r="A86" s="3" t="s">
        <v>74</v>
      </c>
      <c r="B86" s="30">
        <f>SUM(B87:B88)</f>
        <v>0</v>
      </c>
      <c r="C86" s="30">
        <f>SUM(C87:C88)</f>
        <v>0</v>
      </c>
    </row>
    <row r="87" spans="1:3" ht="12.75">
      <c r="A87" s="3" t="s">
        <v>114</v>
      </c>
      <c r="B87" s="30">
        <v>0</v>
      </c>
      <c r="C87" s="30">
        <v>0</v>
      </c>
    </row>
    <row r="88" spans="1:3" ht="12.75">
      <c r="A88" s="3" t="s">
        <v>115</v>
      </c>
      <c r="B88" s="30">
        <v>0</v>
      </c>
      <c r="C88" s="30">
        <v>0</v>
      </c>
    </row>
    <row r="89" spans="1:4" ht="12.75">
      <c r="A89" s="3" t="s">
        <v>75</v>
      </c>
      <c r="B89" s="30">
        <f>SUM(B90:B91)</f>
        <v>0</v>
      </c>
      <c r="C89" s="30">
        <f>SUM(C90:C91)</f>
        <v>0</v>
      </c>
      <c r="D89" s="29"/>
    </row>
    <row r="90" spans="1:4" ht="12.75">
      <c r="A90" s="3" t="s">
        <v>114</v>
      </c>
      <c r="B90" s="30">
        <v>0</v>
      </c>
      <c r="C90" s="30">
        <v>0</v>
      </c>
      <c r="D90" s="29"/>
    </row>
    <row r="91" spans="1:4" ht="12.75">
      <c r="A91" s="3" t="s">
        <v>115</v>
      </c>
      <c r="B91" s="30">
        <v>0</v>
      </c>
      <c r="C91" s="30">
        <v>0</v>
      </c>
      <c r="D91" s="29"/>
    </row>
    <row r="92" spans="1:3" ht="12.75">
      <c r="A92" s="3" t="s">
        <v>76</v>
      </c>
      <c r="B92" s="30">
        <f>SUM(B93:B94)</f>
        <v>0</v>
      </c>
      <c r="C92" s="30">
        <f>SUM(C93:C94)</f>
        <v>0</v>
      </c>
    </row>
    <row r="93" spans="1:3" ht="12.75">
      <c r="A93" s="3" t="s">
        <v>114</v>
      </c>
      <c r="B93" s="30">
        <v>0</v>
      </c>
      <c r="C93" s="30">
        <v>0</v>
      </c>
    </row>
    <row r="94" spans="1:3" ht="12.75">
      <c r="A94" s="3" t="s">
        <v>115</v>
      </c>
      <c r="B94" s="30">
        <v>0</v>
      </c>
      <c r="C94" s="30">
        <v>0</v>
      </c>
    </row>
    <row r="95" spans="1:3" ht="12.75">
      <c r="A95" s="3" t="s">
        <v>77</v>
      </c>
      <c r="B95" s="30">
        <f>SUM(B96:B97)</f>
        <v>0</v>
      </c>
      <c r="C95" s="30">
        <f>SUM(C96:C97)</f>
        <v>0</v>
      </c>
    </row>
    <row r="96" spans="1:3" ht="12.75">
      <c r="A96" s="3" t="s">
        <v>114</v>
      </c>
      <c r="B96" s="30">
        <v>0</v>
      </c>
      <c r="C96" s="30">
        <v>0</v>
      </c>
    </row>
    <row r="97" spans="1:3" ht="12.75">
      <c r="A97" s="3" t="s">
        <v>115</v>
      </c>
      <c r="B97" s="30">
        <v>0</v>
      </c>
      <c r="C97" s="30">
        <v>0</v>
      </c>
    </row>
    <row r="98" spans="1:3" ht="12.75">
      <c r="A98" s="3" t="s">
        <v>80</v>
      </c>
      <c r="B98" s="30">
        <f>SUM(B99:B100)</f>
        <v>20851</v>
      </c>
      <c r="C98" s="30">
        <f>SUM(C99:C100)</f>
        <v>71902</v>
      </c>
    </row>
    <row r="99" spans="1:3" ht="12.75">
      <c r="A99" s="3" t="s">
        <v>114</v>
      </c>
      <c r="B99" s="30">
        <f>ROUND(20850.99,0)</f>
        <v>20851</v>
      </c>
      <c r="C99" s="30">
        <f>ROUND(71901.62,0)</f>
        <v>71902</v>
      </c>
    </row>
    <row r="100" spans="1:3" ht="12.75">
      <c r="A100" s="3" t="s">
        <v>115</v>
      </c>
      <c r="B100" s="30">
        <v>0</v>
      </c>
      <c r="C100" s="30">
        <v>0</v>
      </c>
    </row>
    <row r="101" spans="1:4" ht="12.75">
      <c r="A101" s="3" t="s">
        <v>78</v>
      </c>
      <c r="B101" s="30">
        <f>SUM(B102:B103)</f>
        <v>1</v>
      </c>
      <c r="C101" s="30">
        <f>SUM(C102:C103)</f>
        <v>183</v>
      </c>
      <c r="D101" s="29"/>
    </row>
    <row r="102" spans="1:4" ht="12.75">
      <c r="A102" s="3" t="s">
        <v>114</v>
      </c>
      <c r="B102" s="30">
        <f>ROUND(0.78,0)</f>
        <v>1</v>
      </c>
      <c r="C102" s="30">
        <f>ROUND(182.74,0)</f>
        <v>183</v>
      </c>
      <c r="D102" s="29"/>
    </row>
    <row r="103" spans="1:4" ht="12.75">
      <c r="A103" s="3" t="s">
        <v>115</v>
      </c>
      <c r="B103" s="30">
        <v>0</v>
      </c>
      <c r="C103" s="30">
        <v>0</v>
      </c>
      <c r="D103" s="29"/>
    </row>
    <row r="104" spans="1:3" ht="12.75">
      <c r="A104" s="3" t="s">
        <v>79</v>
      </c>
      <c r="B104" s="30">
        <f>SUM(B105:B106)</f>
        <v>16614</v>
      </c>
      <c r="C104" s="30">
        <f>SUM(C105:C106)</f>
        <v>4529</v>
      </c>
    </row>
    <row r="105" spans="1:3" ht="12.75">
      <c r="A105" s="3" t="s">
        <v>114</v>
      </c>
      <c r="B105" s="30">
        <f>ROUND(16613.86,0)</f>
        <v>16614</v>
      </c>
      <c r="C105" s="30">
        <f>ROUND(4529.3,0)</f>
        <v>4529</v>
      </c>
    </row>
    <row r="106" spans="1:3" ht="12.75">
      <c r="A106" s="3" t="s">
        <v>115</v>
      </c>
      <c r="B106" s="30">
        <v>0</v>
      </c>
      <c r="C106" s="30">
        <v>0</v>
      </c>
    </row>
    <row r="107" spans="1:3" ht="12.75">
      <c r="A107" s="3" t="s">
        <v>84</v>
      </c>
      <c r="B107" s="30">
        <f>SUM(B108:B109)</f>
        <v>38813</v>
      </c>
      <c r="C107" s="30">
        <f>SUM(C108:C109)</f>
        <v>19093</v>
      </c>
    </row>
    <row r="108" spans="1:3" ht="12.75">
      <c r="A108" s="3" t="s">
        <v>114</v>
      </c>
      <c r="B108" s="30">
        <f>ROUND(38813.3,0)</f>
        <v>38813</v>
      </c>
      <c r="C108" s="30">
        <f>ROUND(19092.56,0)</f>
        <v>19093</v>
      </c>
    </row>
    <row r="109" spans="1:3" ht="12.75">
      <c r="A109" s="3" t="s">
        <v>115</v>
      </c>
      <c r="B109" s="30">
        <v>0</v>
      </c>
      <c r="C109" s="30">
        <v>0</v>
      </c>
    </row>
    <row r="110" spans="1:3" ht="12.75">
      <c r="A110" s="3" t="s">
        <v>15</v>
      </c>
      <c r="B110" s="30"/>
      <c r="C110" s="30"/>
    </row>
    <row r="111" spans="1:3" ht="12.75">
      <c r="A111" s="4" t="s">
        <v>22</v>
      </c>
      <c r="B111" s="31">
        <f>ROUND(31242.23,0)</f>
        <v>31242</v>
      </c>
      <c r="C111" s="31">
        <f>ROUND(31083.93,0)</f>
        <v>31084</v>
      </c>
    </row>
    <row r="112" spans="1:3" ht="12.75">
      <c r="A112" s="3" t="s">
        <v>15</v>
      </c>
      <c r="B112" s="30"/>
      <c r="C112" s="30"/>
    </row>
    <row r="113" spans="1:3" ht="12.75">
      <c r="A113" s="4" t="s">
        <v>100</v>
      </c>
      <c r="B113" s="34">
        <f>B111+B85+B83+B79+B68</f>
        <v>518514</v>
      </c>
      <c r="C113" s="34">
        <f>C111+C85+C83+C79+C68</f>
        <v>528287</v>
      </c>
    </row>
    <row r="114" spans="1:3" ht="12.75">
      <c r="A114" s="3"/>
      <c r="B114" s="3"/>
      <c r="C114" s="3"/>
    </row>
    <row r="115" ht="12.75">
      <c r="B115" s="29"/>
    </row>
  </sheetData>
  <sheetProtection/>
  <mergeCells count="6">
    <mergeCell ref="A6:C6"/>
    <mergeCell ref="A8:C8"/>
    <mergeCell ref="A1:C1"/>
    <mergeCell ref="A3:C3"/>
    <mergeCell ref="A4:C4"/>
    <mergeCell ref="A2:C2"/>
  </mergeCells>
  <printOptions horizontalCentered="1"/>
  <pageMargins left="0.6692913385826772" right="0.7874015748031497" top="0.7874015748031497" bottom="0.78740157480314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showGridLines="0" tabSelected="1" zoomScale="110" zoomScaleNormal="110" zoomScalePageLayoutView="0" workbookViewId="0" topLeftCell="A1">
      <selection activeCell="G48" sqref="G48"/>
    </sheetView>
  </sheetViews>
  <sheetFormatPr defaultColWidth="9.140625" defaultRowHeight="12.75"/>
  <cols>
    <col min="1" max="1" width="2.421875" style="0" customWidth="1"/>
    <col min="2" max="2" width="10.8515625" style="0" customWidth="1"/>
    <col min="6" max="6" width="17.00390625" style="0" customWidth="1"/>
    <col min="7" max="7" width="12.8515625" style="0" customWidth="1"/>
    <col min="8" max="8" width="9.28125" style="0" bestFit="1" customWidth="1"/>
    <col min="11" max="11" width="22.00390625" style="0" customWidth="1"/>
    <col min="12" max="14" width="12.7109375" style="0" customWidth="1"/>
  </cols>
  <sheetData>
    <row r="2" spans="2:14" ht="15">
      <c r="B2" s="68" t="str">
        <f>Patrimoniale!A1</f>
        <v>OPERA FEDERICO OZANAM ONLUS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12.75">
      <c r="B3" s="70" t="str">
        <f>Patrimoniale!A2</f>
        <v>Associazione riconosciuta con Decreto Regione Lombardia n. 462 del 20/07/2016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2.75">
      <c r="B4" s="71" t="str">
        <f>Patrimoniale!A3</f>
        <v>Sede legale: 20144 Milano (MI) - Via Motta n. 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2:14" ht="12.75">
      <c r="B5" s="71" t="str">
        <f>Patrimoniale!A4</f>
        <v>Codice Fiscale: 97111130155 - Partita IVA: 10806550157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ht="5.25" customHeight="1"/>
    <row r="7" spans="2:14" ht="18">
      <c r="B7" s="72" t="s">
        <v>142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2:14" ht="6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ht="18">
      <c r="B9" s="72" t="s">
        <v>97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s="1" customFormat="1" ht="16.5" customHeight="1" thickBot="1">
      <c r="A10"/>
      <c r="B10" s="5"/>
      <c r="C10" s="5"/>
      <c r="D10" s="5"/>
      <c r="E10" s="5"/>
      <c r="F10" s="28"/>
      <c r="G10" s="28"/>
      <c r="H10" s="28"/>
      <c r="I10" s="5"/>
      <c r="J10" s="5"/>
      <c r="K10" s="5"/>
      <c r="L10" s="5"/>
      <c r="M10" s="5"/>
      <c r="N10" s="5"/>
    </row>
    <row r="11" spans="2:14" s="1" customFormat="1" ht="15.75">
      <c r="B11" s="9"/>
      <c r="C11" s="10"/>
      <c r="D11" s="10"/>
      <c r="E11" s="10"/>
      <c r="F11" s="10"/>
      <c r="G11" s="50">
        <f>Patrimoniale!B10</f>
        <v>2018</v>
      </c>
      <c r="H11" s="50">
        <f>Patrimoniale!C10</f>
        <v>2017</v>
      </c>
      <c r="I11" s="9"/>
      <c r="J11" s="10"/>
      <c r="K11" s="10"/>
      <c r="L11" s="10"/>
      <c r="M11" s="50">
        <f>Patrimoniale!B10</f>
        <v>2018</v>
      </c>
      <c r="N11" s="50">
        <f>Patrimoniale!C10</f>
        <v>2017</v>
      </c>
    </row>
    <row r="12" spans="2:14" s="1" customFormat="1" ht="15.75" customHeight="1">
      <c r="B12" s="13" t="s">
        <v>36</v>
      </c>
      <c r="C12" s="12"/>
      <c r="D12" s="12"/>
      <c r="E12" s="26"/>
      <c r="F12" s="26"/>
      <c r="G12" s="51">
        <f>SUM(G13:G19)</f>
        <v>464006</v>
      </c>
      <c r="H12" s="51">
        <f>SUM(H13:H19)</f>
        <v>440988</v>
      </c>
      <c r="I12" s="41" t="s">
        <v>90</v>
      </c>
      <c r="J12" s="12"/>
      <c r="K12" s="12"/>
      <c r="L12" s="26"/>
      <c r="M12" s="58">
        <f>SUM(M13:M18)</f>
        <v>453295</v>
      </c>
      <c r="N12" s="58">
        <f>SUM(N13:N18)</f>
        <v>459902</v>
      </c>
    </row>
    <row r="13" spans="2:14" s="1" customFormat="1" ht="12" customHeight="1">
      <c r="B13" s="14"/>
      <c r="C13" s="15" t="s">
        <v>125</v>
      </c>
      <c r="D13" s="15"/>
      <c r="E13" s="37"/>
      <c r="F13" s="37"/>
      <c r="G13" s="53">
        <f>ROUND(7973.25,0)</f>
        <v>7973</v>
      </c>
      <c r="H13" s="53">
        <f>ROUND(4996.2,0)</f>
        <v>4996</v>
      </c>
      <c r="I13" s="42"/>
      <c r="J13" s="16" t="s">
        <v>25</v>
      </c>
      <c r="K13" s="16"/>
      <c r="L13" s="47"/>
      <c r="M13" s="53">
        <f>ROUND(0,0)</f>
        <v>0</v>
      </c>
      <c r="N13" s="53">
        <f>ROUND(0,0)</f>
        <v>0</v>
      </c>
    </row>
    <row r="14" spans="2:14" s="1" customFormat="1" ht="12" customHeight="1">
      <c r="B14" s="17"/>
      <c r="C14" s="18" t="s">
        <v>38</v>
      </c>
      <c r="D14" s="18"/>
      <c r="E14" s="38"/>
      <c r="F14" s="38"/>
      <c r="G14" s="53">
        <f>ROUND(139305.06-1162.32-4718.67-5297.81,0)</f>
        <v>128126</v>
      </c>
      <c r="H14" s="53">
        <f>ROUND(352475.78-762.45-51.37-28021+697.84-4538.5-3382.77,0)</f>
        <v>316418</v>
      </c>
      <c r="I14" s="43"/>
      <c r="J14" s="19" t="s">
        <v>23</v>
      </c>
      <c r="K14" s="19"/>
      <c r="L14" s="48"/>
      <c r="M14" s="53">
        <f>ROUND(453291,0)</f>
        <v>453291</v>
      </c>
      <c r="N14" s="53">
        <f>ROUND(459900,0)</f>
        <v>459900</v>
      </c>
    </row>
    <row r="15" spans="2:14" s="1" customFormat="1" ht="12" customHeight="1">
      <c r="B15" s="14"/>
      <c r="C15" s="15" t="s">
        <v>126</v>
      </c>
      <c r="D15" s="15"/>
      <c r="E15" s="37"/>
      <c r="F15" s="37"/>
      <c r="G15" s="53">
        <f>ROUND(2417.6,0)</f>
        <v>2418</v>
      </c>
      <c r="H15" s="52">
        <f>ROUND(0,0)</f>
        <v>0</v>
      </c>
      <c r="I15" s="42"/>
      <c r="J15" s="16" t="s">
        <v>24</v>
      </c>
      <c r="K15" s="16"/>
      <c r="L15" s="49"/>
      <c r="M15" s="53">
        <f>ROUND(0,0)</f>
        <v>0</v>
      </c>
      <c r="N15" s="53">
        <f>ROUND(0,0)</f>
        <v>0</v>
      </c>
    </row>
    <row r="16" spans="2:14" s="1" customFormat="1" ht="12" customHeight="1">
      <c r="B16" s="17"/>
      <c r="C16" s="18" t="s">
        <v>48</v>
      </c>
      <c r="D16" s="18"/>
      <c r="E16" s="38"/>
      <c r="F16" s="38"/>
      <c r="G16" s="53">
        <f>ROUND(267914.77,0)</f>
        <v>267915</v>
      </c>
      <c r="H16" s="53">
        <f>ROUND(79716.18-336.41,0)</f>
        <v>79380</v>
      </c>
      <c r="I16" s="42"/>
      <c r="J16" s="16" t="s">
        <v>118</v>
      </c>
      <c r="K16" s="16"/>
      <c r="L16" s="49"/>
      <c r="M16" s="53">
        <f>ROUND(0,0)</f>
        <v>0</v>
      </c>
      <c r="N16" s="53">
        <f>ROUND(0,0)</f>
        <v>0</v>
      </c>
    </row>
    <row r="17" spans="2:14" s="1" customFormat="1" ht="12" customHeight="1">
      <c r="B17" s="14"/>
      <c r="C17" s="15" t="s">
        <v>131</v>
      </c>
      <c r="D17" s="15"/>
      <c r="E17" s="37"/>
      <c r="F17" s="37"/>
      <c r="G17" s="53">
        <f>ROUND(44755.68+6096.12,0)</f>
        <v>50852</v>
      </c>
      <c r="H17" s="53">
        <f>ROUND(5346.78+3972.88,0)</f>
        <v>9320</v>
      </c>
      <c r="I17" s="43"/>
      <c r="J17" s="19" t="s">
        <v>119</v>
      </c>
      <c r="K17" s="19"/>
      <c r="L17" s="48"/>
      <c r="M17" s="53">
        <f>ROUND(3.64+0.01,0)</f>
        <v>4</v>
      </c>
      <c r="N17" s="53">
        <f>ROUND(0.92+0.8,0)</f>
        <v>2</v>
      </c>
    </row>
    <row r="18" spans="2:14" s="1" customFormat="1" ht="12" customHeight="1">
      <c r="B18" s="17"/>
      <c r="C18" s="18" t="s">
        <v>37</v>
      </c>
      <c r="D18" s="18"/>
      <c r="E18" s="38"/>
      <c r="F18" s="38"/>
      <c r="G18" s="53">
        <f>ROUND(5559.36+1162.32,0)</f>
        <v>6722</v>
      </c>
      <c r="H18" s="53">
        <f>ROUND(2400.69+762.45+28021-310,0)</f>
        <v>30874</v>
      </c>
      <c r="I18" s="43"/>
      <c r="J18" s="19" t="s">
        <v>55</v>
      </c>
      <c r="K18" s="19"/>
      <c r="L18" s="48"/>
      <c r="M18" s="53">
        <v>0</v>
      </c>
      <c r="N18" s="53">
        <v>0</v>
      </c>
    </row>
    <row r="19" spans="2:14" s="1" customFormat="1" ht="12" customHeight="1">
      <c r="B19" s="14"/>
      <c r="C19" s="15" t="s">
        <v>54</v>
      </c>
      <c r="D19" s="15"/>
      <c r="E19" s="37"/>
      <c r="F19" s="37"/>
      <c r="G19" s="52">
        <v>0</v>
      </c>
      <c r="H19" s="52">
        <v>0</v>
      </c>
      <c r="I19" s="42"/>
      <c r="J19" s="16"/>
      <c r="K19" s="16"/>
      <c r="L19" s="49"/>
      <c r="M19" s="53"/>
      <c r="N19" s="53"/>
    </row>
    <row r="20" spans="2:14" s="1" customFormat="1" ht="12" customHeight="1">
      <c r="B20" s="17"/>
      <c r="C20" s="18"/>
      <c r="D20" s="18"/>
      <c r="E20" s="38"/>
      <c r="F20" s="38"/>
      <c r="G20" s="53"/>
      <c r="H20" s="53"/>
      <c r="I20" s="41" t="s">
        <v>26</v>
      </c>
      <c r="J20" s="20"/>
      <c r="K20" s="20"/>
      <c r="L20" s="40"/>
      <c r="M20" s="59">
        <f>SUM(M21:M24)</f>
        <v>18890</v>
      </c>
      <c r="N20" s="59">
        <f>SUM(N21:N24)</f>
        <v>21528</v>
      </c>
    </row>
    <row r="21" spans="2:14" s="1" customFormat="1" ht="12" customHeight="1">
      <c r="B21" s="21" t="s">
        <v>4</v>
      </c>
      <c r="C21" s="22"/>
      <c r="D21" s="22"/>
      <c r="E21" s="39"/>
      <c r="F21" s="39"/>
      <c r="G21" s="54">
        <f>SUM(G22:G24)</f>
        <v>0</v>
      </c>
      <c r="H21" s="54">
        <f>SUM(H22:H24)</f>
        <v>310</v>
      </c>
      <c r="I21" s="42"/>
      <c r="J21" s="16" t="s">
        <v>39</v>
      </c>
      <c r="K21" s="16"/>
      <c r="L21" s="49"/>
      <c r="M21" s="53">
        <f>ROUND(0,0)</f>
        <v>0</v>
      </c>
      <c r="N21" s="53">
        <f>ROUND(8610,0)</f>
        <v>8610</v>
      </c>
    </row>
    <row r="22" spans="2:14" s="1" customFormat="1" ht="12" customHeight="1">
      <c r="B22" s="17"/>
      <c r="C22" s="23" t="s">
        <v>39</v>
      </c>
      <c r="D22" s="18"/>
      <c r="E22" s="38"/>
      <c r="F22" s="38"/>
      <c r="G22" s="53">
        <f>ROUND(0,0)</f>
        <v>0</v>
      </c>
      <c r="H22" s="53">
        <f>ROUND(310,0)</f>
        <v>310</v>
      </c>
      <c r="I22" s="42"/>
      <c r="J22" s="16" t="s">
        <v>40</v>
      </c>
      <c r="K22" s="16"/>
      <c r="L22" s="49"/>
      <c r="M22" s="53">
        <f>ROUND(0,0)</f>
        <v>0</v>
      </c>
      <c r="N22" s="53">
        <f>ROUND(0,0)</f>
        <v>0</v>
      </c>
    </row>
    <row r="23" spans="2:14" s="1" customFormat="1" ht="12" customHeight="1">
      <c r="B23" s="14"/>
      <c r="C23" s="15" t="s">
        <v>40</v>
      </c>
      <c r="D23" s="15"/>
      <c r="E23" s="37"/>
      <c r="F23" s="37"/>
      <c r="G23" s="52">
        <f>ROUND(0,0)</f>
        <v>0</v>
      </c>
      <c r="H23" s="52">
        <f>ROUND(0,0)</f>
        <v>0</v>
      </c>
      <c r="I23" s="43"/>
      <c r="J23" s="19" t="s">
        <v>120</v>
      </c>
      <c r="K23" s="19"/>
      <c r="L23" s="48"/>
      <c r="M23" s="53">
        <f>ROUND(2244.1,0)</f>
        <v>2244</v>
      </c>
      <c r="N23" s="53">
        <f>ROUND(1653.04,0)</f>
        <v>1653</v>
      </c>
    </row>
    <row r="24" spans="2:14" s="1" customFormat="1" ht="12" customHeight="1">
      <c r="B24" s="17"/>
      <c r="C24" s="18" t="s">
        <v>127</v>
      </c>
      <c r="D24" s="18"/>
      <c r="E24" s="38"/>
      <c r="F24" s="38"/>
      <c r="G24" s="53">
        <f>ROUND(0,0)</f>
        <v>0</v>
      </c>
      <c r="H24" s="53">
        <f>ROUND(0,0)</f>
        <v>0</v>
      </c>
      <c r="I24" s="42"/>
      <c r="J24" s="16" t="s">
        <v>121</v>
      </c>
      <c r="K24" s="16"/>
      <c r="L24" s="49"/>
      <c r="M24" s="53">
        <f>ROUND(16646.4,0)</f>
        <v>16646</v>
      </c>
      <c r="N24" s="53">
        <f>ROUND(19875-8610,0)</f>
        <v>11265</v>
      </c>
    </row>
    <row r="25" spans="2:14" s="1" customFormat="1" ht="12" customHeight="1">
      <c r="B25" s="17"/>
      <c r="C25" s="18"/>
      <c r="D25" s="18"/>
      <c r="E25" s="38"/>
      <c r="F25" s="38"/>
      <c r="G25" s="53"/>
      <c r="H25" s="53"/>
      <c r="I25" s="43"/>
      <c r="J25" s="19"/>
      <c r="K25" s="19"/>
      <c r="L25" s="48"/>
      <c r="M25" s="53"/>
      <c r="N25" s="53"/>
    </row>
    <row r="26" spans="2:14" s="1" customFormat="1" ht="12" customHeight="1">
      <c r="B26" s="24" t="s">
        <v>87</v>
      </c>
      <c r="C26" s="20"/>
      <c r="D26" s="20"/>
      <c r="E26" s="40"/>
      <c r="F26" s="40"/>
      <c r="G26" s="51">
        <f>SUM(G27:G32)</f>
        <v>0</v>
      </c>
      <c r="H26" s="51">
        <f>SUM(H27:H32)</f>
        <v>0</v>
      </c>
      <c r="I26" s="41" t="s">
        <v>91</v>
      </c>
      <c r="J26" s="22"/>
      <c r="K26" s="22"/>
      <c r="L26" s="39"/>
      <c r="M26" s="59">
        <f>SUM(M27:M31)</f>
        <v>0</v>
      </c>
      <c r="N26" s="59">
        <f>SUM(N27:N31)</f>
        <v>0</v>
      </c>
    </row>
    <row r="27" spans="2:14" s="1" customFormat="1" ht="12" customHeight="1">
      <c r="B27" s="14"/>
      <c r="C27" s="15" t="s">
        <v>128</v>
      </c>
      <c r="D27" s="15"/>
      <c r="E27" s="37"/>
      <c r="F27" s="37"/>
      <c r="G27" s="52">
        <v>0</v>
      </c>
      <c r="H27" s="52">
        <v>0</v>
      </c>
      <c r="I27" s="43"/>
      <c r="J27" s="19" t="s">
        <v>134</v>
      </c>
      <c r="K27" s="19"/>
      <c r="L27" s="48"/>
      <c r="M27" s="53">
        <f>ROUND(0,0)</f>
        <v>0</v>
      </c>
      <c r="N27" s="53">
        <v>0</v>
      </c>
    </row>
    <row r="28" spans="2:14" s="1" customFormat="1" ht="12" customHeight="1">
      <c r="B28" s="17"/>
      <c r="C28" s="18" t="s">
        <v>41</v>
      </c>
      <c r="D28" s="18"/>
      <c r="E28" s="38"/>
      <c r="F28" s="38"/>
      <c r="G28" s="53">
        <f>ROUND(0,0)</f>
        <v>0</v>
      </c>
      <c r="H28" s="53">
        <v>0</v>
      </c>
      <c r="I28" s="42"/>
      <c r="J28" s="16" t="s">
        <v>27</v>
      </c>
      <c r="K28" s="16"/>
      <c r="L28" s="49"/>
      <c r="M28" s="53">
        <v>0</v>
      </c>
      <c r="N28" s="53">
        <v>0</v>
      </c>
    </row>
    <row r="29" spans="2:14" s="1" customFormat="1" ht="12" customHeight="1">
      <c r="B29" s="14"/>
      <c r="C29" s="15" t="s">
        <v>42</v>
      </c>
      <c r="D29" s="15"/>
      <c r="E29" s="37"/>
      <c r="F29" s="37"/>
      <c r="G29" s="52">
        <v>0</v>
      </c>
      <c r="H29" s="52">
        <v>0</v>
      </c>
      <c r="I29" s="43"/>
      <c r="J29" s="19" t="s">
        <v>28</v>
      </c>
      <c r="K29" s="19"/>
      <c r="L29" s="48"/>
      <c r="M29" s="53">
        <v>0</v>
      </c>
      <c r="N29" s="53">
        <v>0</v>
      </c>
    </row>
    <row r="30" spans="2:14" s="1" customFormat="1" ht="12" customHeight="1">
      <c r="B30" s="17"/>
      <c r="C30" s="18" t="s">
        <v>49</v>
      </c>
      <c r="D30" s="18"/>
      <c r="E30" s="38"/>
      <c r="F30" s="38"/>
      <c r="G30" s="53">
        <v>0</v>
      </c>
      <c r="H30" s="53">
        <v>0</v>
      </c>
      <c r="I30" s="42"/>
      <c r="J30" s="16" t="s">
        <v>122</v>
      </c>
      <c r="K30" s="16"/>
      <c r="L30" s="49"/>
      <c r="M30" s="53">
        <v>0</v>
      </c>
      <c r="N30" s="53">
        <v>0</v>
      </c>
    </row>
    <row r="31" spans="2:14" s="1" customFormat="1" ht="12" customHeight="1">
      <c r="B31" s="14"/>
      <c r="C31" s="15" t="s">
        <v>132</v>
      </c>
      <c r="D31" s="15"/>
      <c r="E31" s="37"/>
      <c r="F31" s="37"/>
      <c r="G31" s="53">
        <v>0</v>
      </c>
      <c r="H31" s="53">
        <v>0</v>
      </c>
      <c r="I31" s="43"/>
      <c r="J31" s="19" t="s">
        <v>123</v>
      </c>
      <c r="K31" s="19"/>
      <c r="L31" s="48"/>
      <c r="M31" s="53">
        <v>0</v>
      </c>
      <c r="N31" s="53">
        <v>0</v>
      </c>
    </row>
    <row r="32" spans="2:14" s="1" customFormat="1" ht="12" customHeight="1">
      <c r="B32" s="17"/>
      <c r="C32" s="18" t="s">
        <v>43</v>
      </c>
      <c r="D32" s="18"/>
      <c r="E32" s="38"/>
      <c r="F32" s="38"/>
      <c r="G32" s="53">
        <v>0</v>
      </c>
      <c r="H32" s="53">
        <v>0</v>
      </c>
      <c r="I32" s="42"/>
      <c r="J32" s="16"/>
      <c r="K32" s="16"/>
      <c r="L32" s="49"/>
      <c r="M32" s="53"/>
      <c r="N32" s="53"/>
    </row>
    <row r="33" spans="2:14" s="1" customFormat="1" ht="12" customHeight="1">
      <c r="B33" s="14"/>
      <c r="C33" s="15"/>
      <c r="D33" s="15"/>
      <c r="E33" s="37"/>
      <c r="F33" s="37"/>
      <c r="G33" s="52"/>
      <c r="H33" s="52"/>
      <c r="I33" s="42"/>
      <c r="J33" s="16"/>
      <c r="K33" s="16"/>
      <c r="L33" s="49"/>
      <c r="M33" s="53"/>
      <c r="N33" s="53"/>
    </row>
    <row r="34" spans="2:14" s="1" customFormat="1" ht="12" customHeight="1">
      <c r="B34" s="24" t="s">
        <v>89</v>
      </c>
      <c r="C34" s="20"/>
      <c r="D34" s="20"/>
      <c r="E34" s="40"/>
      <c r="F34" s="40"/>
      <c r="G34" s="55">
        <f>SUM(G35:G39)</f>
        <v>5</v>
      </c>
      <c r="H34" s="55">
        <f>SUM(H35:H39)</f>
        <v>1864</v>
      </c>
      <c r="I34" s="41" t="s">
        <v>92</v>
      </c>
      <c r="J34" s="20"/>
      <c r="K34" s="20"/>
      <c r="L34" s="40"/>
      <c r="M34" s="59">
        <f>SUM(M35:M38)</f>
        <v>1681</v>
      </c>
      <c r="N34" s="59">
        <f>SUM(N35:N38)</f>
        <v>3160</v>
      </c>
    </row>
    <row r="35" spans="2:14" s="1" customFormat="1" ht="12" customHeight="1">
      <c r="B35" s="14"/>
      <c r="C35" s="15" t="s">
        <v>129</v>
      </c>
      <c r="D35" s="15"/>
      <c r="E35" s="37"/>
      <c r="F35" s="37"/>
      <c r="G35" s="52">
        <v>0</v>
      </c>
      <c r="H35" s="52">
        <v>0</v>
      </c>
      <c r="I35" s="43"/>
      <c r="J35" s="19" t="s">
        <v>29</v>
      </c>
      <c r="K35" s="19"/>
      <c r="L35" s="48"/>
      <c r="M35" s="53">
        <f>ROUND(0,0)</f>
        <v>0</v>
      </c>
      <c r="N35" s="53">
        <f>ROUND(21.08,0)</f>
        <v>21</v>
      </c>
    </row>
    <row r="36" spans="2:14" s="1" customFormat="1" ht="12" customHeight="1">
      <c r="B36" s="17"/>
      <c r="C36" s="18" t="s">
        <v>44</v>
      </c>
      <c r="D36" s="18"/>
      <c r="E36" s="38"/>
      <c r="F36" s="38"/>
      <c r="G36" s="53">
        <v>0</v>
      </c>
      <c r="H36" s="53">
        <v>0</v>
      </c>
      <c r="I36" s="42"/>
      <c r="J36" s="25" t="s">
        <v>124</v>
      </c>
      <c r="K36" s="16"/>
      <c r="L36" s="49"/>
      <c r="M36" s="53">
        <f>ROUND(817.95+862.5+1,0)</f>
        <v>1681</v>
      </c>
      <c r="N36" s="53">
        <f>ROUND(705.85+2433.5,0)</f>
        <v>3139</v>
      </c>
    </row>
    <row r="37" spans="2:14" s="1" customFormat="1" ht="12" customHeight="1">
      <c r="B37" s="14"/>
      <c r="C37" s="15" t="s">
        <v>45</v>
      </c>
      <c r="D37" s="15"/>
      <c r="E37" s="37"/>
      <c r="F37" s="37"/>
      <c r="G37" s="52">
        <f>ROUND(0,0)</f>
        <v>0</v>
      </c>
      <c r="H37" s="52">
        <f>ROUND(0,0)</f>
        <v>0</v>
      </c>
      <c r="I37" s="43"/>
      <c r="J37" s="19" t="s">
        <v>30</v>
      </c>
      <c r="K37" s="19"/>
      <c r="L37" s="48"/>
      <c r="M37" s="53">
        <f>ROUND(0,0)</f>
        <v>0</v>
      </c>
      <c r="N37" s="53">
        <f>ROUND(0,0)</f>
        <v>0</v>
      </c>
    </row>
    <row r="38" spans="2:14" s="1" customFormat="1" ht="12" customHeight="1">
      <c r="B38" s="17"/>
      <c r="C38" s="18" t="s">
        <v>31</v>
      </c>
      <c r="D38" s="18"/>
      <c r="E38" s="38"/>
      <c r="F38" s="38"/>
      <c r="G38" s="53">
        <f>ROUND(4.58,0)</f>
        <v>5</v>
      </c>
      <c r="H38" s="53">
        <f>ROUND(1864.44,0)</f>
        <v>1864</v>
      </c>
      <c r="I38" s="43"/>
      <c r="J38" s="19" t="s">
        <v>31</v>
      </c>
      <c r="K38" s="19"/>
      <c r="L38" s="49"/>
      <c r="M38" s="53"/>
      <c r="N38" s="53"/>
    </row>
    <row r="39" spans="2:14" s="1" customFormat="1" ht="12" customHeight="1">
      <c r="B39" s="14"/>
      <c r="C39" s="15" t="s">
        <v>81</v>
      </c>
      <c r="D39" s="15"/>
      <c r="E39" s="37"/>
      <c r="F39" s="37"/>
      <c r="G39" s="53">
        <f>ROUND(0,0)</f>
        <v>0</v>
      </c>
      <c r="H39" s="53">
        <f>ROUND(0,0)</f>
        <v>0</v>
      </c>
      <c r="I39" s="42"/>
      <c r="J39" s="15"/>
      <c r="K39" s="15"/>
      <c r="L39" s="37"/>
      <c r="M39" s="53"/>
      <c r="N39" s="53"/>
    </row>
    <row r="40" spans="2:14" s="1" customFormat="1" ht="12" customHeight="1">
      <c r="B40" s="17"/>
      <c r="C40" s="18"/>
      <c r="D40" s="18"/>
      <c r="E40" s="38"/>
      <c r="F40" s="38"/>
      <c r="G40" s="53"/>
      <c r="H40" s="53"/>
      <c r="I40" s="42"/>
      <c r="J40" s="15"/>
      <c r="K40" s="15"/>
      <c r="L40" s="37"/>
      <c r="M40" s="53"/>
      <c r="N40" s="53"/>
    </row>
    <row r="41" spans="2:14" s="1" customFormat="1" ht="12" customHeight="1">
      <c r="B41" s="21" t="s">
        <v>1</v>
      </c>
      <c r="C41" s="22"/>
      <c r="D41" s="22"/>
      <c r="E41" s="39"/>
      <c r="F41" s="39"/>
      <c r="G41" s="56">
        <f>SUM(G42:G44)</f>
        <v>0</v>
      </c>
      <c r="H41" s="56">
        <f>SUM(H42:H44)</f>
        <v>388</v>
      </c>
      <c r="I41" s="41" t="s">
        <v>2</v>
      </c>
      <c r="J41" s="20"/>
      <c r="K41" s="20"/>
      <c r="L41" s="40"/>
      <c r="M41" s="59">
        <f>SUM(M42:M44)</f>
        <v>2156</v>
      </c>
      <c r="N41" s="59">
        <f>SUM(N42:N44)</f>
        <v>856</v>
      </c>
    </row>
    <row r="42" spans="2:14" s="1" customFormat="1" ht="12" customHeight="1">
      <c r="B42" s="17"/>
      <c r="C42" s="18" t="s">
        <v>51</v>
      </c>
      <c r="D42" s="18"/>
      <c r="E42" s="38"/>
      <c r="F42" s="38"/>
      <c r="G42" s="53">
        <v>0</v>
      </c>
      <c r="H42" s="53">
        <v>0</v>
      </c>
      <c r="I42" s="42"/>
      <c r="J42" s="16" t="s">
        <v>32</v>
      </c>
      <c r="K42" s="16"/>
      <c r="L42" s="49"/>
      <c r="M42" s="53">
        <v>0</v>
      </c>
      <c r="N42" s="53">
        <v>0</v>
      </c>
    </row>
    <row r="43" spans="2:14" s="1" customFormat="1" ht="12" customHeight="1">
      <c r="B43" s="14"/>
      <c r="C43" s="15" t="s">
        <v>52</v>
      </c>
      <c r="D43" s="15"/>
      <c r="E43" s="37"/>
      <c r="F43" s="37"/>
      <c r="G43" s="52">
        <v>0</v>
      </c>
      <c r="H43" s="52">
        <v>0</v>
      </c>
      <c r="I43" s="43"/>
      <c r="J43" s="19" t="s">
        <v>33</v>
      </c>
      <c r="K43" s="19"/>
      <c r="L43" s="48"/>
      <c r="M43" s="53">
        <v>0</v>
      </c>
      <c r="N43" s="53">
        <v>0</v>
      </c>
    </row>
    <row r="44" spans="2:14" s="1" customFormat="1" ht="12" customHeight="1">
      <c r="B44" s="17"/>
      <c r="C44" s="18" t="s">
        <v>53</v>
      </c>
      <c r="D44" s="18"/>
      <c r="E44" s="38"/>
      <c r="F44" s="38"/>
      <c r="G44" s="53">
        <f>ROUND(0,0)</f>
        <v>0</v>
      </c>
      <c r="H44" s="53">
        <f>ROUND(51.37+336.41,0)</f>
        <v>388</v>
      </c>
      <c r="I44" s="42"/>
      <c r="J44" s="16" t="s">
        <v>34</v>
      </c>
      <c r="K44" s="16"/>
      <c r="L44" s="49"/>
      <c r="M44" s="53">
        <f>ROUND(2156.39,0)</f>
        <v>2156</v>
      </c>
      <c r="N44" s="53">
        <f>ROUND(856,0)</f>
        <v>856</v>
      </c>
    </row>
    <row r="45" spans="2:14" s="1" customFormat="1" ht="12" customHeight="1">
      <c r="B45" s="14"/>
      <c r="C45" s="15"/>
      <c r="D45" s="15"/>
      <c r="E45" s="37"/>
      <c r="F45" s="37"/>
      <c r="G45" s="52"/>
      <c r="H45" s="52"/>
      <c r="I45" s="43"/>
      <c r="J45" s="19"/>
      <c r="K45" s="19"/>
      <c r="L45" s="48"/>
      <c r="M45" s="53"/>
      <c r="N45" s="53"/>
    </row>
    <row r="46" spans="2:14" s="1" customFormat="1" ht="12" customHeight="1">
      <c r="B46" s="24" t="s">
        <v>5</v>
      </c>
      <c r="C46" s="20"/>
      <c r="D46" s="20"/>
      <c r="E46" s="40"/>
      <c r="F46" s="40"/>
      <c r="G46" s="51">
        <f>SUM(G47:G53)</f>
        <v>10016</v>
      </c>
      <c r="H46" s="51">
        <f>SUM(H47:H53)</f>
        <v>7921</v>
      </c>
      <c r="I46" s="43"/>
      <c r="J46" s="18"/>
      <c r="K46" s="18"/>
      <c r="L46" s="38"/>
      <c r="M46" s="53"/>
      <c r="N46" s="53"/>
    </row>
    <row r="47" spans="2:14" s="1" customFormat="1" ht="12" customHeight="1">
      <c r="B47" s="14"/>
      <c r="C47" s="15" t="s">
        <v>130</v>
      </c>
      <c r="D47" s="15"/>
      <c r="E47" s="37"/>
      <c r="F47" s="37"/>
      <c r="G47" s="52">
        <v>0</v>
      </c>
      <c r="H47" s="52">
        <v>0</v>
      </c>
      <c r="I47" s="43"/>
      <c r="J47" s="19"/>
      <c r="K47" s="19"/>
      <c r="L47" s="48"/>
      <c r="M47" s="53"/>
      <c r="N47" s="53"/>
    </row>
    <row r="48" spans="2:14" s="1" customFormat="1" ht="12" customHeight="1">
      <c r="B48" s="17"/>
      <c r="C48" s="18" t="s">
        <v>46</v>
      </c>
      <c r="D48" s="18"/>
      <c r="E48" s="38"/>
      <c r="F48" s="38"/>
      <c r="G48" s="53">
        <f>ROUND(4718.67+5297.81,0)</f>
        <v>10016</v>
      </c>
      <c r="H48" s="53">
        <f>ROUND(4538.5+3382.77,0)</f>
        <v>7921</v>
      </c>
      <c r="I48" s="42"/>
      <c r="J48" s="16"/>
      <c r="K48" s="16"/>
      <c r="L48" s="49"/>
      <c r="M48" s="53"/>
      <c r="N48" s="53"/>
    </row>
    <row r="49" spans="2:14" s="1" customFormat="1" ht="12" customHeight="1">
      <c r="B49" s="14"/>
      <c r="C49" s="15" t="s">
        <v>86</v>
      </c>
      <c r="D49" s="15"/>
      <c r="E49" s="37"/>
      <c r="F49" s="37"/>
      <c r="G49" s="52">
        <v>0</v>
      </c>
      <c r="H49" s="52">
        <v>0</v>
      </c>
      <c r="I49" s="43"/>
      <c r="J49" s="19"/>
      <c r="K49" s="19"/>
      <c r="L49" s="48"/>
      <c r="M49" s="53"/>
      <c r="N49" s="53"/>
    </row>
    <row r="50" spans="2:14" s="1" customFormat="1" ht="12" customHeight="1">
      <c r="B50" s="17"/>
      <c r="C50" s="18" t="s">
        <v>50</v>
      </c>
      <c r="D50" s="18"/>
      <c r="E50" s="38"/>
      <c r="F50" s="38"/>
      <c r="G50" s="53">
        <f>ROUND(0,0)</f>
        <v>0</v>
      </c>
      <c r="H50" s="53">
        <f>ROUND(0,0)</f>
        <v>0</v>
      </c>
      <c r="I50" s="44"/>
      <c r="J50" s="16"/>
      <c r="K50" s="16"/>
      <c r="L50" s="49"/>
      <c r="M50" s="53"/>
      <c r="N50" s="53"/>
    </row>
    <row r="51" spans="2:14" s="1" customFormat="1" ht="12" customHeight="1">
      <c r="B51" s="14"/>
      <c r="C51" s="15" t="s">
        <v>133</v>
      </c>
      <c r="D51" s="15"/>
      <c r="E51" s="37"/>
      <c r="F51" s="37"/>
      <c r="G51" s="52">
        <f>ROUND(0,0)</f>
        <v>0</v>
      </c>
      <c r="H51" s="52">
        <f>ROUND(0,0)</f>
        <v>0</v>
      </c>
      <c r="I51" s="42"/>
      <c r="J51" s="16"/>
      <c r="K51" s="16"/>
      <c r="L51" s="49"/>
      <c r="M51" s="53"/>
      <c r="N51" s="53"/>
    </row>
    <row r="52" spans="2:14" s="1" customFormat="1" ht="12" customHeight="1">
      <c r="B52" s="17"/>
      <c r="C52" s="18" t="s">
        <v>47</v>
      </c>
      <c r="D52" s="18"/>
      <c r="E52" s="38"/>
      <c r="F52" s="38"/>
      <c r="G52" s="53">
        <v>0</v>
      </c>
      <c r="H52" s="53">
        <v>0</v>
      </c>
      <c r="I52" s="43"/>
      <c r="J52" s="19"/>
      <c r="K52" s="19"/>
      <c r="L52" s="48"/>
      <c r="M52" s="53"/>
      <c r="N52" s="53"/>
    </row>
    <row r="53" spans="2:14" s="1" customFormat="1" ht="12" customHeight="1">
      <c r="B53" s="17"/>
      <c r="C53" s="18" t="s">
        <v>82</v>
      </c>
      <c r="D53" s="18"/>
      <c r="E53" s="38"/>
      <c r="F53" s="38"/>
      <c r="G53" s="53">
        <v>0</v>
      </c>
      <c r="H53" s="53">
        <v>0</v>
      </c>
      <c r="I53" s="43"/>
      <c r="J53" s="19"/>
      <c r="K53" s="19"/>
      <c r="L53" s="48"/>
      <c r="M53" s="53"/>
      <c r="N53" s="53"/>
    </row>
    <row r="54" spans="2:14" ht="13.5">
      <c r="B54" s="24"/>
      <c r="C54" s="20"/>
      <c r="D54" s="20"/>
      <c r="E54" s="40"/>
      <c r="F54" s="40"/>
      <c r="G54" s="61"/>
      <c r="H54" s="61"/>
      <c r="I54" s="46"/>
      <c r="J54" s="20"/>
      <c r="K54" s="20"/>
      <c r="L54" s="40"/>
      <c r="M54" s="53"/>
      <c r="N54" s="53"/>
    </row>
    <row r="55" spans="2:14" ht="13.5">
      <c r="B55" s="21" t="s">
        <v>3</v>
      </c>
      <c r="C55" s="22"/>
      <c r="D55" s="22"/>
      <c r="E55" s="39"/>
      <c r="F55" s="39"/>
      <c r="G55" s="57">
        <f>G46+G41+G34+G26+G21+G12</f>
        <v>474027</v>
      </c>
      <c r="H55" s="57">
        <f>H46+H41+H34+H26+H21+H12</f>
        <v>451471</v>
      </c>
      <c r="I55" s="45" t="s">
        <v>35</v>
      </c>
      <c r="J55" s="22"/>
      <c r="K55" s="22"/>
      <c r="L55" s="39"/>
      <c r="M55" s="60">
        <f>M41+M34+M26+M20+M12</f>
        <v>476022</v>
      </c>
      <c r="N55" s="60">
        <f>N41+N34+N26+N20+N12</f>
        <v>485446</v>
      </c>
    </row>
    <row r="56" spans="2:14" ht="13.5">
      <c r="B56" s="17"/>
      <c r="C56" s="18"/>
      <c r="D56" s="18"/>
      <c r="E56" s="38"/>
      <c r="F56" s="38"/>
      <c r="G56" s="53"/>
      <c r="H56" s="53"/>
      <c r="I56" s="46"/>
      <c r="J56" s="18"/>
      <c r="K56" s="18"/>
      <c r="L56" s="38"/>
      <c r="M56" s="53"/>
      <c r="N56" s="53"/>
    </row>
    <row r="57" spans="2:14" ht="13.5">
      <c r="B57" s="24" t="s">
        <v>0</v>
      </c>
      <c r="C57" s="20"/>
      <c r="D57" s="20"/>
      <c r="E57" s="40"/>
      <c r="F57" s="40"/>
      <c r="G57" s="61">
        <f>IF(M55&gt;G55,M55-G55,0)</f>
        <v>1995</v>
      </c>
      <c r="H57" s="61">
        <f>IF(N55&gt;H55,N55-H55,0)</f>
        <v>33975</v>
      </c>
      <c r="I57" s="24" t="s">
        <v>98</v>
      </c>
      <c r="J57" s="18"/>
      <c r="K57" s="18"/>
      <c r="L57" s="38"/>
      <c r="M57" s="61">
        <f>IF(G55&gt;M55,G55-M55,0)</f>
        <v>0</v>
      </c>
      <c r="N57" s="53">
        <f>IF(H55&gt;N55,H55-N55,0)</f>
        <v>0</v>
      </c>
    </row>
    <row r="58" spans="2:14" ht="13.5">
      <c r="B58" s="62"/>
      <c r="C58" s="63"/>
      <c r="D58" s="63"/>
      <c r="E58" s="63"/>
      <c r="F58" s="63"/>
      <c r="G58" s="64"/>
      <c r="H58" s="64"/>
      <c r="I58" s="62"/>
      <c r="J58" s="65"/>
      <c r="K58" s="65"/>
      <c r="L58" s="65"/>
      <c r="M58" s="64"/>
      <c r="N58" s="52"/>
    </row>
    <row r="59" spans="2:14" ht="13.5">
      <c r="B59" s="21" t="s">
        <v>139</v>
      </c>
      <c r="C59" s="22"/>
      <c r="D59" s="22"/>
      <c r="E59" s="39"/>
      <c r="F59" s="39"/>
      <c r="G59" s="57">
        <f>SUM(G55:G58)</f>
        <v>476022</v>
      </c>
      <c r="H59" s="57">
        <f>SUM(H55:H58)</f>
        <v>485446</v>
      </c>
      <c r="I59" s="45" t="s">
        <v>139</v>
      </c>
      <c r="J59" s="22"/>
      <c r="K59" s="22"/>
      <c r="L59" s="39"/>
      <c r="M59" s="60">
        <f>SUM(M55:M58)</f>
        <v>476022</v>
      </c>
      <c r="N59" s="60">
        <f>SUM(N55:N58)</f>
        <v>485446</v>
      </c>
    </row>
    <row r="60" spans="2:14" ht="13.5">
      <c r="B60" s="17"/>
      <c r="C60" s="18"/>
      <c r="D60" s="18"/>
      <c r="E60" s="38"/>
      <c r="F60" s="38"/>
      <c r="G60" s="53"/>
      <c r="H60" s="53"/>
      <c r="I60" s="46"/>
      <c r="J60" s="18"/>
      <c r="K60" s="18"/>
      <c r="L60" s="38"/>
      <c r="M60" s="53"/>
      <c r="N60" s="53"/>
    </row>
    <row r="61" ht="12.75">
      <c r="B61" s="2"/>
    </row>
    <row r="62" ht="12.75">
      <c r="B62" s="2"/>
    </row>
    <row r="63" ht="12.75">
      <c r="B63" s="2"/>
    </row>
  </sheetData>
  <sheetProtection/>
  <mergeCells count="6">
    <mergeCell ref="B2:N2"/>
    <mergeCell ref="B3:N3"/>
    <mergeCell ref="B4:N4"/>
    <mergeCell ref="B5:N5"/>
    <mergeCell ref="B7:N7"/>
    <mergeCell ref="B9:N9"/>
  </mergeCells>
  <printOptions horizontalCentered="1"/>
  <pageMargins left="0.1968503937007874" right="0" top="0.4330708661417323" bottom="0.4330708661417323" header="0.2362204724409449" footer="0.15748031496062992"/>
  <pageSetup fitToHeight="1" fitToWidth="1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SP</cp:lastModifiedBy>
  <cp:lastPrinted>2019-04-17T07:07:51Z</cp:lastPrinted>
  <dcterms:created xsi:type="dcterms:W3CDTF">2005-01-28T13:10:34Z</dcterms:created>
  <dcterms:modified xsi:type="dcterms:W3CDTF">2019-04-17T07:07:53Z</dcterms:modified>
  <cp:category/>
  <cp:version/>
  <cp:contentType/>
  <cp:contentStatus/>
</cp:coreProperties>
</file>